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75" windowWidth="15630" windowHeight="12735"/>
  </bookViews>
  <sheets>
    <sheet name="Tecnólogo de Gestão de RH" sheetId="1" r:id="rId1"/>
  </sheets>
  <calcPr calcId="145621"/>
</workbook>
</file>

<file path=xl/calcChain.xml><?xml version="1.0" encoding="utf-8"?>
<calcChain xmlns="http://schemas.openxmlformats.org/spreadsheetml/2006/main">
  <c r="C32" i="1" l="1"/>
  <c r="C11" i="1"/>
  <c r="D59" i="1" l="1"/>
  <c r="D58" i="1"/>
  <c r="H23" i="1"/>
  <c r="F22" i="1"/>
  <c r="C22" i="1" s="1"/>
  <c r="D136" i="1"/>
  <c r="D130" i="1"/>
  <c r="D47" i="1"/>
  <c r="D49" i="1" s="1"/>
  <c r="D80" i="1" s="1"/>
  <c r="D97" i="1"/>
  <c r="D96" i="1"/>
  <c r="D95" i="1"/>
  <c r="D94" i="1"/>
  <c r="D93" i="1"/>
  <c r="D92" i="1"/>
  <c r="D81" i="1"/>
  <c r="D78" i="1"/>
  <c r="D79" i="1"/>
  <c r="D76" i="1"/>
  <c r="C13" i="1"/>
  <c r="C18" i="1" s="1"/>
  <c r="C58" i="1" s="1"/>
  <c r="C36" i="1"/>
  <c r="C149" i="1" s="1"/>
  <c r="C59" i="1" l="1"/>
  <c r="C95" i="1"/>
  <c r="D137" i="1"/>
  <c r="C147" i="1"/>
  <c r="C94" i="1"/>
  <c r="C79" i="1"/>
  <c r="C81" i="1" s="1"/>
  <c r="C92" i="1"/>
  <c r="C97" i="1"/>
  <c r="C76" i="1"/>
  <c r="C93" i="1"/>
  <c r="C68" i="1"/>
  <c r="C96" i="1"/>
  <c r="C47" i="1"/>
  <c r="C46" i="1"/>
  <c r="C45" i="1"/>
  <c r="C44" i="1"/>
  <c r="C41" i="1"/>
  <c r="C43" i="1"/>
  <c r="C48" i="1"/>
  <c r="C42" i="1"/>
  <c r="D99" i="1"/>
  <c r="C80" i="1" l="1"/>
  <c r="C60" i="1"/>
  <c r="C77" i="1"/>
  <c r="C49" i="1"/>
  <c r="C119" i="1" s="1"/>
  <c r="C69" i="1"/>
  <c r="C70" i="1" s="1"/>
  <c r="C121" i="1" s="1"/>
  <c r="C78" i="1"/>
  <c r="C98" i="1"/>
  <c r="C61" i="1" l="1"/>
  <c r="C62" i="1" s="1"/>
  <c r="C120" i="1" s="1"/>
  <c r="C82" i="1"/>
  <c r="C122" i="1" s="1"/>
  <c r="C99" i="1"/>
  <c r="C100" i="1" s="1"/>
  <c r="C123" i="1" s="1"/>
  <c r="C124" i="1" l="1"/>
  <c r="C150" i="1" s="1"/>
  <c r="F23" i="1"/>
  <c r="C23" i="1" s="1"/>
  <c r="C28" i="1" l="1"/>
  <c r="C148" i="1" s="1"/>
  <c r="C151" i="1" s="1"/>
  <c r="C128" i="1" l="1"/>
  <c r="C129" i="1" l="1"/>
  <c r="C130" i="1" s="1"/>
  <c r="C132" i="1" l="1"/>
  <c r="C131" i="1"/>
  <c r="C133" i="1"/>
  <c r="C134" i="1"/>
  <c r="C135" i="1"/>
  <c r="C136" i="1" l="1"/>
  <c r="C137" i="1" s="1"/>
  <c r="C152" i="1" l="1"/>
  <c r="C153" i="1" s="1"/>
</calcChain>
</file>

<file path=xl/sharedStrings.xml><?xml version="1.0" encoding="utf-8"?>
<sst xmlns="http://schemas.openxmlformats.org/spreadsheetml/2006/main" count="204" uniqueCount="123">
  <si>
    <t>Tipo de serviço</t>
  </si>
  <si>
    <t>Salário normativo da categoria profissional</t>
  </si>
  <si>
    <t>Categoria profissional</t>
  </si>
  <si>
    <t>Data base da categoria</t>
  </si>
  <si>
    <t>Sindicato</t>
  </si>
  <si>
    <t>I</t>
  </si>
  <si>
    <t>Composição da Remuneração</t>
  </si>
  <si>
    <t>Valor (R$)</t>
  </si>
  <si>
    <t>A</t>
  </si>
  <si>
    <t>B</t>
  </si>
  <si>
    <t>C</t>
  </si>
  <si>
    <t>D</t>
  </si>
  <si>
    <t>E</t>
  </si>
  <si>
    <t>F</t>
  </si>
  <si>
    <t>G</t>
  </si>
  <si>
    <t>H</t>
  </si>
  <si>
    <t>Salário Base</t>
  </si>
  <si>
    <t>Adicional de periculosidade</t>
  </si>
  <si>
    <t>Adicional de insalubridade</t>
  </si>
  <si>
    <t>Adicional noturno</t>
  </si>
  <si>
    <t>Hora noturna adicional</t>
  </si>
  <si>
    <t>Adicional de hora extra</t>
  </si>
  <si>
    <t>Intervalo intrajornada</t>
  </si>
  <si>
    <t>%</t>
  </si>
  <si>
    <t>TOTAL</t>
  </si>
  <si>
    <t>TOTAL (R$)</t>
  </si>
  <si>
    <t>II</t>
  </si>
  <si>
    <t>Benefícios Mensais e Diários</t>
  </si>
  <si>
    <t>Transporte</t>
  </si>
  <si>
    <t>Auxílio alimentação (vales, cesta básica etc.)</t>
  </si>
  <si>
    <t>Auxílio creche</t>
  </si>
  <si>
    <t>Assistência médica e familiar</t>
  </si>
  <si>
    <t>Seguro de vida, invalidez e funeral</t>
  </si>
  <si>
    <t xml:space="preserve">Dias </t>
  </si>
  <si>
    <t>Valor Unitário</t>
  </si>
  <si>
    <t>Plano de Beneficio Social Familiar</t>
  </si>
  <si>
    <t>III</t>
  </si>
  <si>
    <t>Insumos diversos</t>
  </si>
  <si>
    <t>Materiais</t>
  </si>
  <si>
    <t>Equipamentos</t>
  </si>
  <si>
    <t>Uniformes¹</t>
  </si>
  <si>
    <t>EPI's¹</t>
  </si>
  <si>
    <t>Encargos previdenciários e FGTS</t>
  </si>
  <si>
    <t>IV</t>
  </si>
  <si>
    <t>INSS</t>
  </si>
  <si>
    <t>FGTS</t>
  </si>
  <si>
    <t>SESI OU SESC¹</t>
  </si>
  <si>
    <t>¹ Decreto Lei n° 9.853/1946 (Art. 3°) e Lei n° 8.036/1990 (Art. 30)</t>
  </si>
  <si>
    <t>SENAI OU SENAC²</t>
  </si>
  <si>
    <t xml:space="preserve">² Decreto Lei n° 2.318/1986 </t>
  </si>
  <si>
    <t>INCRA³</t>
  </si>
  <si>
    <t>³ Decreto Lei n° 1.146/1970 (Art. 2°)</t>
  </si>
  <si>
    <r>
      <t>Salário Educação</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</si>
  <si>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 xml:space="preserve"> Decreto Lei n° 87.043/1982 (Art. 3° inc. I), Lei n° 9.424/1996 (Art. 15), Decreto 3.142/1999 (Art. 2°) e Consituição Federal de 1988 (Art. 212 § 5°)</t>
    </r>
  </si>
  <si>
    <r>
      <t>SEBRAE</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</si>
  <si>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Lei n° 8.029/1190 (Art. 8°)</t>
    </r>
  </si>
  <si>
    <r>
      <t>Seguro acidente do trabalho</t>
    </r>
    <r>
      <rPr>
        <vertAlign val="superscript"/>
        <sz val="11"/>
        <color theme="1"/>
        <rFont val="Calibri"/>
        <family val="2"/>
        <scheme val="minor"/>
      </rPr>
      <t>5</t>
    </r>
  </si>
  <si>
    <t>V</t>
  </si>
  <si>
    <t>13º Salário e Adicional de Férias</t>
  </si>
  <si>
    <t>Subtotal</t>
  </si>
  <si>
    <t>13º Salário</t>
  </si>
  <si>
    <t>Adicional de Férias¹</t>
  </si>
  <si>
    <t>¹ A Constituição Federal, em seu art. 7º, inciso XVII, prevê que as férias sejam pagas com adicional de, pelo menos, 1/3 (um terço) da remuneração do mês. Assim, a provisão para atender as despesas relativas ao abono de férias corresponde a: (1/3)*(5/56) x 100 = 2,98%.</t>
  </si>
  <si>
    <t>Afastamento Maternidade</t>
  </si>
  <si>
    <t>Incidência do ITEM IV sobre afastamento maternidade</t>
  </si>
  <si>
    <t>Afastamento Maternidade¹</t>
  </si>
  <si>
    <t xml:space="preserve">¹ A taxa de natalidade, de acordo com o IBGE, é de 1,44% dos empregados. Considerando que 10% das empregadas engravidam em cada ano de execução contratual e usufruam de 4 (quatro) meses de licença por ano. </t>
  </si>
  <si>
    <t>Provisão para Rescisão</t>
  </si>
  <si>
    <t>Aviso prévio indenizado¹</t>
  </si>
  <si>
    <t xml:space="preserve">¹ CLT (Art. 487, § 1°), de acordo com levantamento efetuado pelo MPOG, cerca de 5% do pessoal é demitido pelo empregador, antes do término do contrato de trabalho. </t>
  </si>
  <si>
    <t>² Considerando que 10% dos empregados pedem contas, essa penalidade recai sobre os 90% remanescentes.</t>
  </si>
  <si>
    <t>Multa do FGTS do aviso prévio indenizado²</t>
  </si>
  <si>
    <t>Incidência do FGTS sobre aviso prévio indenizado</t>
  </si>
  <si>
    <t>Aviso prévio trabalhado³</t>
  </si>
  <si>
    <t>Incidência do ITEM IV sobre 13º Salário e Adicional de Férias</t>
  </si>
  <si>
    <t>Incidência do ITEM IV s/aviso prévio trabalhado</t>
  </si>
  <si>
    <t>Multa FGTS do aviso prévio trabalhado</t>
  </si>
  <si>
    <t>³ CLT (art. 488) refere-se à indenização de sete dias corridos devida ao empregado no caso de o empregador rescindir o contrato sem justo motivo e conceder aviso prévio. Cerca de 2% do pessoal é demitido nessa situação.</t>
  </si>
  <si>
    <t>Férias¹</t>
  </si>
  <si>
    <t>¹ Pode-se determinar a provisão mensal considerando que na duração do contrato de 60 meses o empregado tem 5 meses de férias e labora em 56 meses.</t>
  </si>
  <si>
    <t>² Entendemos que deva ser adotado 5,96 dias, conforme consta do memorial de cálculo encaminhado pelo MP, devendo-se converter esses dias em mês e depois dividi-lo pelo número de meses no ano. (Acórdão 1753/2008 – Plenário TCU)</t>
  </si>
  <si>
    <t>Ausência por doença²</t>
  </si>
  <si>
    <t>³ Conforme a Constituição Federal (Art. 7°, inciso XIX), combinado com o art. 10, § 1º dos Atos das Disposições Constitucionais Transitórias – ADCT - , concede ao empregado o direito de ausentar-se do serviço por cinco dias quando do nascimento de filho. De acordo com o IBGE, nascem filhos de 1,5% dos trabalhadores no período de um ano.</t>
  </si>
  <si>
    <t>Licença paternidade³</t>
  </si>
  <si>
    <r>
      <rPr>
        <vertAlign val="superscript"/>
        <sz val="11"/>
        <color indexed="8"/>
        <rFont val="Calibri"/>
        <family val="2"/>
      </rPr>
      <t>4</t>
    </r>
    <r>
      <rPr>
        <sz val="11"/>
        <color indexed="8"/>
        <rFont val="Calibri"/>
        <family val="2"/>
      </rPr>
      <t xml:space="preserve"> Estimativa de 1 (uma) ausência por ano. </t>
    </r>
  </si>
  <si>
    <r>
      <t>Ausências legais</t>
    </r>
    <r>
      <rPr>
        <vertAlign val="superscript"/>
        <sz val="11"/>
        <color theme="1"/>
        <rFont val="Calibri"/>
        <family val="2"/>
        <scheme val="minor"/>
      </rPr>
      <t>4</t>
    </r>
  </si>
  <si>
    <r>
      <rPr>
        <vertAlign val="superscript"/>
        <sz val="11"/>
        <color theme="1"/>
        <rFont val="Calibri"/>
        <family val="2"/>
        <scheme val="minor"/>
      </rPr>
      <t>5</t>
    </r>
    <r>
      <rPr>
        <sz val="11"/>
        <color theme="1"/>
        <rFont val="Calibri"/>
        <family val="2"/>
        <scheme val="minor"/>
      </rPr>
      <t xml:space="preserve"> Decreto nº 89.312/1984 (Art. 27),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t>
    </r>
  </si>
  <si>
    <r>
      <t>Ausência por acidente de trabalho</t>
    </r>
    <r>
      <rPr>
        <vertAlign val="superscript"/>
        <sz val="11"/>
        <color theme="1"/>
        <rFont val="Calibri"/>
        <family val="2"/>
        <scheme val="minor"/>
      </rPr>
      <t>5</t>
    </r>
  </si>
  <si>
    <r>
      <t>Outros (especificar)</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</si>
  <si>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Ausências previstas no CCT Sindical</t>
    </r>
  </si>
  <si>
    <t>Custo de Reposição do Profissional Ausente</t>
  </si>
  <si>
    <t>GRUPO B</t>
  </si>
  <si>
    <r>
      <rPr>
        <vertAlign val="superscript"/>
        <sz val="11"/>
        <color theme="1"/>
        <rFont val="Calibri"/>
        <family val="2"/>
        <scheme val="minor"/>
      </rPr>
      <t>5</t>
    </r>
    <r>
      <rPr>
        <sz val="11"/>
        <color theme="1"/>
        <rFont val="Calibri"/>
        <family val="2"/>
        <scheme val="minor"/>
      </rPr>
      <t xml:space="preserve"> Estimativa de 1 (uma) licença de 15 (quinze) dias por ano para 8% (oito por cento) dos empregados.</t>
    </r>
  </si>
  <si>
    <t>Custos Indiretos, Tributos e Lucro</t>
  </si>
  <si>
    <t>Lucro</t>
  </si>
  <si>
    <t>Custos Indiretos¹</t>
  </si>
  <si>
    <t>¹ São os gastos da contratada com sua estrutura administrativa, organizacional e gerenciamento de seus contratos</t>
  </si>
  <si>
    <t xml:space="preserve">GRUPO A </t>
  </si>
  <si>
    <t xml:space="preserve">GRUPO C </t>
  </si>
  <si>
    <t>GRUPO D</t>
  </si>
  <si>
    <t xml:space="preserve">GRUPO D - Encargos Sociais e Trabalhistas </t>
  </si>
  <si>
    <t>GRUPO E</t>
  </si>
  <si>
    <t>ISSQN ou ISS</t>
  </si>
  <si>
    <t>COFINS</t>
  </si>
  <si>
    <t>PIS</t>
  </si>
  <si>
    <t>² Ganho decorrente da exploração da atividade econômica, calculado mediante incidência percentual sobre a remuneração, benefícios mensais e diários, insumos diversos, encargos sociais e trabalhistas e custos indiretos. No cálculo dos valores limites dos serviços de vigilância e limpeza foi estabelecido o percentual de 6,79%, conforme jurisprudências do TCU.</t>
  </si>
  <si>
    <t>CSLL</t>
  </si>
  <si>
    <t>IRRF</t>
  </si>
  <si>
    <t xml:space="preserve">Subtotal Tributos </t>
  </si>
  <si>
    <t>CUSTO MENSAL DA MÃO-DE-OBRA PARA EXECUÇÃO CONTRATUAL</t>
  </si>
  <si>
    <t>GRUPO A - Composição da Remuneração</t>
  </si>
  <si>
    <t>GRUPO B - Benefícios Mensais e Diários</t>
  </si>
  <si>
    <t>GRUPO C - Insumos Diversos</t>
  </si>
  <si>
    <t>GRUPO D - Encargos Sociais e Trabalhistas</t>
  </si>
  <si>
    <t xml:space="preserve">Desconto </t>
  </si>
  <si>
    <t>Subtotal (A+B+C+D)</t>
  </si>
  <si>
    <t>GRUPO E - Custos Indiretos, Tributos e Lucro</t>
  </si>
  <si>
    <t>VALOR TOTAL POR POSTO</t>
  </si>
  <si>
    <t>N° Registro M.T.E.</t>
  </si>
  <si>
    <t>¹ O custo total calculado é de R$ 248,00. Considerando a substituição conforme Termo de Referência, obtivemos o valor deluído mensalmente.</t>
  </si>
  <si>
    <t>SINDAERGS</t>
  </si>
  <si>
    <t>Serviços Especializados</t>
  </si>
  <si>
    <t>Tecnólogo em Gestão de RH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</si>
</sst>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14"/>
      <color rgb="FF555555"/>
      <name val="Times New Roman"/>
      <family val="1"/>
    </font>
    <font>
      <sz val="9"/>
      <color theme="1"/>
      <name val="Calibri"/>
      <family val="2"/>
      <scheme val="minor"/>
    </font>
    <font>
      <vertAlign val="superscript"/>
      <sz val="11"/>
      <color indexed="8"/>
      <name val="Calibri"/>
      <family val="2"/>
    </font>
    <font>
      <sz val="11"/>
      <color indexed="8"/>
      <name val="Calibri"/>
      <family val="2"/>
    </font>
    <font>
      <sz val="11"/>
      <color theme="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2" xfId="0" applyBorder="1"/>
    <xf numFmtId="44" fontId="0" fillId="0" borderId="2" xfId="1" applyFont="1" applyBorder="1"/>
    <xf numFmtId="0" fontId="0" fillId="0" borderId="2" xfId="0" applyFill="1" applyBorder="1"/>
    <xf numFmtId="14" fontId="0" fillId="0" borderId="2" xfId="0" applyNumberFormat="1" applyBorder="1" applyAlignment="1">
      <alignment horizontal="left"/>
    </xf>
    <xf numFmtId="0" fontId="0" fillId="0" borderId="2" xfId="0" applyBorder="1" applyAlignment="1">
      <alignment horizontal="center"/>
    </xf>
    <xf numFmtId="0" fontId="3" fillId="0" borderId="2" xfId="0" applyFont="1" applyBorder="1" applyAlignment="1">
      <alignment horizontal="center"/>
    </xf>
    <xf numFmtId="44" fontId="0" fillId="0" borderId="0" xfId="0" applyNumberFormat="1"/>
    <xf numFmtId="44" fontId="0" fillId="0" borderId="2" xfId="0" applyNumberFormat="1" applyBorder="1"/>
    <xf numFmtId="0" fontId="3" fillId="2" borderId="2" xfId="0" applyFont="1" applyFill="1" applyBorder="1" applyAlignment="1">
      <alignment horizontal="center"/>
    </xf>
    <xf numFmtId="0" fontId="3" fillId="3" borderId="2" xfId="0" applyFont="1" applyFill="1" applyBorder="1" applyAlignment="1">
      <alignment horizontal="center"/>
    </xf>
    <xf numFmtId="44" fontId="3" fillId="2" borderId="2" xfId="0" applyNumberFormat="1" applyFont="1" applyFill="1" applyBorder="1"/>
    <xf numFmtId="0" fontId="3" fillId="0" borderId="0" xfId="0" applyFont="1"/>
    <xf numFmtId="44" fontId="3" fillId="3" borderId="2" xfId="0" applyNumberFormat="1" applyFont="1" applyFill="1" applyBorder="1"/>
    <xf numFmtId="0" fontId="3" fillId="4" borderId="2" xfId="0" applyFont="1" applyFill="1" applyBorder="1" applyAlignment="1">
      <alignment horizontal="center"/>
    </xf>
    <xf numFmtId="9" fontId="0" fillId="0" borderId="2" xfId="0" applyNumberFormat="1" applyBorder="1"/>
    <xf numFmtId="10" fontId="0" fillId="0" borderId="2" xfId="0" applyNumberFormat="1" applyBorder="1" applyAlignment="1">
      <alignment horizontal="center"/>
    </xf>
    <xf numFmtId="0" fontId="0" fillId="0" borderId="0" xfId="0" applyAlignment="1">
      <alignment wrapText="1"/>
    </xf>
    <xf numFmtId="0" fontId="0" fillId="0" borderId="2" xfId="0" applyBorder="1" applyAlignment="1">
      <alignment wrapText="1"/>
    </xf>
    <xf numFmtId="0" fontId="3" fillId="5" borderId="2" xfId="0" applyFont="1" applyFill="1" applyBorder="1" applyAlignment="1">
      <alignment horizontal="center"/>
    </xf>
    <xf numFmtId="44" fontId="3" fillId="5" borderId="2" xfId="0" applyNumberFormat="1" applyFont="1" applyFill="1" applyBorder="1"/>
    <xf numFmtId="44" fontId="3" fillId="0" borderId="2" xfId="0" applyNumberFormat="1" applyFont="1" applyBorder="1"/>
    <xf numFmtId="0" fontId="0" fillId="0" borderId="2" xfId="0" applyBorder="1" applyAlignment="1">
      <alignment horizontal="center" vertical="center"/>
    </xf>
    <xf numFmtId="0" fontId="3" fillId="6" borderId="2" xfId="0" applyFont="1" applyFill="1" applyBorder="1" applyAlignment="1">
      <alignment horizontal="center"/>
    </xf>
    <xf numFmtId="0" fontId="5" fillId="0" borderId="0" xfId="0" applyFont="1"/>
    <xf numFmtId="10" fontId="0" fillId="0" borderId="2" xfId="2" applyNumberFormat="1" applyFont="1" applyBorder="1" applyAlignment="1">
      <alignment horizontal="center"/>
    </xf>
    <xf numFmtId="0" fontId="0" fillId="0" borderId="0" xfId="0" applyFill="1" applyBorder="1" applyAlignment="1">
      <alignment wrapText="1"/>
    </xf>
    <xf numFmtId="0" fontId="6" fillId="0" borderId="0" xfId="0" applyFont="1" applyFill="1" applyBorder="1" applyAlignment="1"/>
    <xf numFmtId="0" fontId="0" fillId="0" borderId="0" xfId="0" applyFont="1" applyAlignment="1">
      <alignment wrapText="1"/>
    </xf>
    <xf numFmtId="0" fontId="0" fillId="0" borderId="0" xfId="0" applyFill="1" applyBorder="1" applyAlignment="1">
      <alignment horizontal="left"/>
    </xf>
    <xf numFmtId="44" fontId="3" fillId="5" borderId="6" xfId="0" applyNumberFormat="1" applyFont="1" applyFill="1" applyBorder="1"/>
    <xf numFmtId="44" fontId="3" fillId="5" borderId="3" xfId="0" applyNumberFormat="1" applyFont="1" applyFill="1" applyBorder="1"/>
    <xf numFmtId="10" fontId="3" fillId="5" borderId="2" xfId="0" applyNumberFormat="1" applyFont="1" applyFill="1" applyBorder="1" applyAlignment="1">
      <alignment horizontal="center"/>
    </xf>
    <xf numFmtId="44" fontId="3" fillId="6" borderId="6" xfId="0" applyNumberFormat="1" applyFont="1" applyFill="1" applyBorder="1"/>
    <xf numFmtId="0" fontId="9" fillId="8" borderId="2" xfId="0" applyFont="1" applyFill="1" applyBorder="1" applyAlignment="1">
      <alignment wrapText="1"/>
    </xf>
    <xf numFmtId="44" fontId="3" fillId="0" borderId="2" xfId="1" applyFont="1" applyBorder="1"/>
    <xf numFmtId="10" fontId="2" fillId="0" borderId="2" xfId="2" applyNumberFormat="1" applyFont="1" applyBorder="1" applyAlignment="1">
      <alignment horizontal="center"/>
    </xf>
    <xf numFmtId="10" fontId="2" fillId="0" borderId="2" xfId="0" applyNumberFormat="1" applyFont="1" applyBorder="1" applyAlignment="1">
      <alignment horizontal="center"/>
    </xf>
    <xf numFmtId="44" fontId="3" fillId="0" borderId="0" xfId="1" applyFont="1" applyFill="1" applyBorder="1" applyAlignment="1">
      <alignment horizontal="center"/>
    </xf>
    <xf numFmtId="44" fontId="3" fillId="7" borderId="2" xfId="1" applyFont="1" applyFill="1" applyBorder="1" applyAlignment="1">
      <alignment horizontal="center"/>
    </xf>
    <xf numFmtId="44" fontId="9" fillId="8" borderId="2" xfId="0" applyNumberFormat="1" applyFont="1" applyFill="1" applyBorder="1" applyAlignment="1">
      <alignment wrapText="1"/>
    </xf>
    <xf numFmtId="10" fontId="3" fillId="0" borderId="2" xfId="0" applyNumberFormat="1" applyFont="1" applyBorder="1" applyAlignment="1">
      <alignment horizontal="center"/>
    </xf>
    <xf numFmtId="10" fontId="3" fillId="6" borderId="2" xfId="2" applyNumberFormat="1" applyFont="1" applyFill="1" applyBorder="1" applyAlignment="1">
      <alignment horizontal="center"/>
    </xf>
    <xf numFmtId="44" fontId="0" fillId="0" borderId="2" xfId="1" applyFont="1" applyFill="1" applyBorder="1" applyAlignment="1">
      <alignment horizontal="left"/>
    </xf>
    <xf numFmtId="44" fontId="3" fillId="0" borderId="2" xfId="1" applyFont="1" applyFill="1" applyBorder="1" applyAlignment="1">
      <alignment horizontal="center"/>
    </xf>
    <xf numFmtId="44" fontId="3" fillId="7" borderId="2" xfId="0" applyNumberFormat="1" applyFont="1" applyFill="1" applyBorder="1" applyAlignment="1">
      <alignment horizontal="center"/>
    </xf>
    <xf numFmtId="44" fontId="3" fillId="4" borderId="2" xfId="1" applyFont="1" applyFill="1" applyBorder="1"/>
    <xf numFmtId="0" fontId="0" fillId="0" borderId="10" xfId="0" applyFill="1" applyBorder="1" applyAlignment="1">
      <alignment horizontal="left"/>
    </xf>
    <xf numFmtId="0" fontId="0" fillId="0" borderId="1" xfId="0" applyFill="1" applyBorder="1" applyAlignment="1">
      <alignment horizontal="left"/>
    </xf>
    <xf numFmtId="0" fontId="0" fillId="0" borderId="11" xfId="0" applyFill="1"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3" fillId="0" borderId="2" xfId="0" applyFont="1" applyBorder="1" applyAlignment="1">
      <alignment horizontal="center"/>
    </xf>
    <xf numFmtId="0" fontId="3" fillId="2" borderId="2" xfId="0" applyFont="1" applyFill="1" applyBorder="1" applyAlignment="1">
      <alignment horizontal="center"/>
    </xf>
    <xf numFmtId="0" fontId="3" fillId="3" borderId="2" xfId="0" applyFont="1" applyFill="1" applyBorder="1" applyAlignment="1">
      <alignment horizontal="center"/>
    </xf>
    <xf numFmtId="0" fontId="3" fillId="4" borderId="2" xfId="0" applyFont="1" applyFill="1" applyBorder="1" applyAlignment="1">
      <alignment horizontal="center"/>
    </xf>
    <xf numFmtId="0" fontId="0" fillId="0" borderId="2" xfId="0" applyFill="1" applyBorder="1" applyAlignment="1">
      <alignment horizontal="left" vertical="center" wrapText="1"/>
    </xf>
    <xf numFmtId="0" fontId="3" fillId="5" borderId="3" xfId="0" applyFont="1" applyFill="1" applyBorder="1" applyAlignment="1">
      <alignment horizontal="center"/>
    </xf>
    <xf numFmtId="0" fontId="0" fillId="0" borderId="7"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44" fontId="3" fillId="4" borderId="2" xfId="1" applyFont="1" applyFill="1" applyBorder="1" applyAlignment="1">
      <alignment horizontal="center"/>
    </xf>
    <xf numFmtId="0" fontId="3" fillId="5" borderId="2" xfId="0" applyFont="1" applyFill="1" applyBorder="1" applyAlignment="1">
      <alignment horizontal="center"/>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7"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7"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10" xfId="0" applyFill="1" applyBorder="1" applyAlignment="1">
      <alignment horizontal="left" wrapText="1"/>
    </xf>
    <xf numFmtId="0" fontId="0" fillId="0" borderId="1" xfId="0" applyFill="1" applyBorder="1" applyAlignment="1">
      <alignment horizontal="left" wrapText="1"/>
    </xf>
    <xf numFmtId="0" fontId="0" fillId="0" borderId="11" xfId="0" applyFill="1" applyBorder="1" applyAlignment="1">
      <alignment horizontal="left" wrapText="1"/>
    </xf>
    <xf numFmtId="44" fontId="3" fillId="7" borderId="12" xfId="1" applyFont="1" applyFill="1" applyBorder="1" applyAlignment="1">
      <alignment horizontal="center"/>
    </xf>
    <xf numFmtId="44" fontId="3" fillId="7" borderId="13" xfId="1"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6" borderId="6" xfId="0" applyFont="1" applyFill="1" applyBorder="1" applyAlignment="1">
      <alignment horizontal="center"/>
    </xf>
    <xf numFmtId="0" fontId="3" fillId="6" borderId="2" xfId="0" applyFont="1" applyFill="1" applyBorder="1" applyAlignment="1">
      <alignment horizontal="center"/>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wrapText="1"/>
    </xf>
    <xf numFmtId="0" fontId="0" fillId="0" borderId="8" xfId="0"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3"/>
  <sheetViews>
    <sheetView tabSelected="1" topLeftCell="A109" zoomScale="90" zoomScaleNormal="90" workbookViewId="0">
      <selection activeCell="E6" sqref="E6"/>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1.140625" bestFit="1" customWidth="1"/>
    <col min="8" max="8" width="11.140625" hidden="1" customWidth="1"/>
  </cols>
  <sheetData>
    <row r="2" spans="1:4" x14ac:dyDescent="0.25">
      <c r="B2" s="1" t="s">
        <v>0</v>
      </c>
      <c r="C2" s="5" t="s">
        <v>122</v>
      </c>
    </row>
    <row r="3" spans="1:4" x14ac:dyDescent="0.25">
      <c r="B3" s="1" t="s">
        <v>1</v>
      </c>
      <c r="C3" s="2">
        <v>3169.97</v>
      </c>
    </row>
    <row r="4" spans="1:4" x14ac:dyDescent="0.25">
      <c r="B4" s="1" t="s">
        <v>2</v>
      </c>
      <c r="C4" s="5" t="s">
        <v>121</v>
      </c>
    </row>
    <row r="5" spans="1:4" x14ac:dyDescent="0.25">
      <c r="B5" s="3" t="s">
        <v>4</v>
      </c>
      <c r="C5" s="5" t="s">
        <v>120</v>
      </c>
    </row>
    <row r="6" spans="1:4" x14ac:dyDescent="0.25">
      <c r="B6" s="3" t="s">
        <v>118</v>
      </c>
      <c r="C6" s="1"/>
    </row>
    <row r="7" spans="1:4" x14ac:dyDescent="0.25">
      <c r="B7" s="1" t="s">
        <v>3</v>
      </c>
      <c r="C7" s="4"/>
    </row>
    <row r="9" spans="1:4" x14ac:dyDescent="0.25">
      <c r="A9" s="54" t="s">
        <v>97</v>
      </c>
      <c r="B9" s="54"/>
      <c r="C9" s="54"/>
      <c r="D9" s="54"/>
    </row>
    <row r="10" spans="1:4" x14ac:dyDescent="0.25">
      <c r="A10" s="9" t="s">
        <v>5</v>
      </c>
      <c r="B10" s="9" t="s">
        <v>6</v>
      </c>
      <c r="C10" s="9" t="s">
        <v>7</v>
      </c>
      <c r="D10" s="9" t="s">
        <v>23</v>
      </c>
    </row>
    <row r="11" spans="1:4" x14ac:dyDescent="0.25">
      <c r="A11" s="5" t="s">
        <v>8</v>
      </c>
      <c r="B11" s="1" t="s">
        <v>16</v>
      </c>
      <c r="C11" s="2">
        <f>$C$3</f>
        <v>3169.97</v>
      </c>
      <c r="D11" s="1"/>
    </row>
    <row r="12" spans="1:4" x14ac:dyDescent="0.25">
      <c r="A12" s="5" t="s">
        <v>9</v>
      </c>
      <c r="B12" s="1" t="s">
        <v>17</v>
      </c>
      <c r="C12" s="2">
        <v>0</v>
      </c>
      <c r="D12" s="1"/>
    </row>
    <row r="13" spans="1:4" x14ac:dyDescent="0.25">
      <c r="A13" s="5" t="s">
        <v>10</v>
      </c>
      <c r="B13" s="1" t="s">
        <v>18</v>
      </c>
      <c r="C13" s="2">
        <f>$C$11*$D$13</f>
        <v>0</v>
      </c>
      <c r="D13" s="15"/>
    </row>
    <row r="14" spans="1:4" x14ac:dyDescent="0.25">
      <c r="A14" s="5" t="s">
        <v>11</v>
      </c>
      <c r="B14" s="1" t="s">
        <v>19</v>
      </c>
      <c r="C14" s="2">
        <v>0</v>
      </c>
      <c r="D14" s="1"/>
    </row>
    <row r="15" spans="1:4" x14ac:dyDescent="0.25">
      <c r="A15" s="5" t="s">
        <v>12</v>
      </c>
      <c r="B15" s="1" t="s">
        <v>20</v>
      </c>
      <c r="C15" s="2">
        <v>0</v>
      </c>
      <c r="D15" s="1"/>
    </row>
    <row r="16" spans="1:4" x14ac:dyDescent="0.25">
      <c r="A16" s="5" t="s">
        <v>13</v>
      </c>
      <c r="B16" s="1" t="s">
        <v>21</v>
      </c>
      <c r="C16" s="2">
        <v>0</v>
      </c>
      <c r="D16" s="1"/>
    </row>
    <row r="17" spans="1:8" x14ac:dyDescent="0.25">
      <c r="A17" s="5" t="s">
        <v>14</v>
      </c>
      <c r="B17" s="1" t="s">
        <v>22</v>
      </c>
      <c r="C17" s="2">
        <v>0</v>
      </c>
      <c r="D17" s="1"/>
    </row>
    <row r="18" spans="1:8" x14ac:dyDescent="0.25">
      <c r="A18" s="54" t="s">
        <v>25</v>
      </c>
      <c r="B18" s="54"/>
      <c r="C18" s="11">
        <f>SUM(C11:C17)</f>
        <v>3169.97</v>
      </c>
    </row>
    <row r="19" spans="1:8" x14ac:dyDescent="0.25">
      <c r="A19" s="12"/>
      <c r="B19" s="12"/>
      <c r="C19" s="12"/>
    </row>
    <row r="20" spans="1:8" x14ac:dyDescent="0.25">
      <c r="A20" s="55" t="s">
        <v>91</v>
      </c>
      <c r="B20" s="55"/>
      <c r="C20" s="55"/>
      <c r="D20" s="55"/>
      <c r="E20" s="55"/>
      <c r="F20" s="55"/>
    </row>
    <row r="21" spans="1:8" x14ac:dyDescent="0.25">
      <c r="A21" s="10" t="s">
        <v>26</v>
      </c>
      <c r="B21" s="10" t="s">
        <v>27</v>
      </c>
      <c r="C21" s="10" t="s">
        <v>7</v>
      </c>
      <c r="D21" s="10" t="s">
        <v>33</v>
      </c>
      <c r="E21" s="10" t="s">
        <v>34</v>
      </c>
      <c r="F21" s="10" t="s">
        <v>114</v>
      </c>
    </row>
    <row r="22" spans="1:8" x14ac:dyDescent="0.25">
      <c r="A22" s="5" t="s">
        <v>8</v>
      </c>
      <c r="B22" s="1" t="s">
        <v>28</v>
      </c>
      <c r="C22" s="2">
        <f>(D22*E22*2)-F22</f>
        <v>16.601800000000026</v>
      </c>
      <c r="D22" s="5">
        <v>22</v>
      </c>
      <c r="E22" s="2">
        <v>4.7</v>
      </c>
      <c r="F22" s="8">
        <f>6%*C11</f>
        <v>190.19819999999999</v>
      </c>
    </row>
    <row r="23" spans="1:8" x14ac:dyDescent="0.25">
      <c r="A23" s="5" t="s">
        <v>9</v>
      </c>
      <c r="B23" s="1" t="s">
        <v>29</v>
      </c>
      <c r="C23" s="2">
        <f>(D23*E23)-F23</f>
        <v>356.4</v>
      </c>
      <c r="D23" s="5">
        <v>22</v>
      </c>
      <c r="E23" s="2">
        <v>20</v>
      </c>
      <c r="F23" s="8">
        <f>19%*H23</f>
        <v>83.6</v>
      </c>
      <c r="G23" s="7"/>
      <c r="H23" s="7">
        <f>(D23*E23)</f>
        <v>440</v>
      </c>
    </row>
    <row r="24" spans="1:8" x14ac:dyDescent="0.25">
      <c r="A24" s="5" t="s">
        <v>10</v>
      </c>
      <c r="B24" s="1" t="s">
        <v>31</v>
      </c>
      <c r="C24" s="2">
        <v>0</v>
      </c>
      <c r="D24" s="5"/>
      <c r="E24" s="1"/>
      <c r="F24" s="1"/>
    </row>
    <row r="25" spans="1:8" x14ac:dyDescent="0.25">
      <c r="A25" s="5" t="s">
        <v>11</v>
      </c>
      <c r="B25" s="1" t="s">
        <v>30</v>
      </c>
      <c r="C25" s="2">
        <v>0</v>
      </c>
      <c r="D25" s="5"/>
      <c r="E25" s="1"/>
      <c r="F25" s="1"/>
    </row>
    <row r="26" spans="1:8" x14ac:dyDescent="0.25">
      <c r="A26" s="5" t="s">
        <v>12</v>
      </c>
      <c r="B26" s="1" t="s">
        <v>32</v>
      </c>
      <c r="C26" s="2">
        <v>0</v>
      </c>
      <c r="D26" s="5"/>
      <c r="E26" s="1"/>
      <c r="F26" s="1"/>
    </row>
    <row r="27" spans="1:8" x14ac:dyDescent="0.25">
      <c r="A27" s="5" t="s">
        <v>13</v>
      </c>
      <c r="B27" s="1" t="s">
        <v>35</v>
      </c>
      <c r="C27" s="2">
        <v>0</v>
      </c>
      <c r="D27" s="5"/>
      <c r="E27" s="1"/>
      <c r="F27" s="1"/>
    </row>
    <row r="28" spans="1:8" x14ac:dyDescent="0.25">
      <c r="A28" s="55" t="s">
        <v>25</v>
      </c>
      <c r="B28" s="55"/>
      <c r="C28" s="13">
        <f>SUM(C22:C27)</f>
        <v>373.0018</v>
      </c>
    </row>
    <row r="30" spans="1:8" x14ac:dyDescent="0.25">
      <c r="A30" s="62" t="s">
        <v>98</v>
      </c>
      <c r="B30" s="62"/>
      <c r="C30" s="62"/>
    </row>
    <row r="31" spans="1:8" x14ac:dyDescent="0.25">
      <c r="A31" s="14" t="s">
        <v>36</v>
      </c>
      <c r="B31" s="14" t="s">
        <v>37</v>
      </c>
      <c r="C31" s="14" t="s">
        <v>7</v>
      </c>
    </row>
    <row r="32" spans="1:8" x14ac:dyDescent="0.25">
      <c r="A32" s="5" t="s">
        <v>8</v>
      </c>
      <c r="B32" s="1" t="s">
        <v>40</v>
      </c>
      <c r="C32" s="2">
        <f>248/12</f>
        <v>20.666666666666668</v>
      </c>
    </row>
    <row r="33" spans="1:4" x14ac:dyDescent="0.25">
      <c r="A33" s="5" t="s">
        <v>9</v>
      </c>
      <c r="B33" s="1" t="s">
        <v>38</v>
      </c>
      <c r="C33" s="2">
        <v>0</v>
      </c>
    </row>
    <row r="34" spans="1:4" x14ac:dyDescent="0.25">
      <c r="A34" s="5" t="s">
        <v>10</v>
      </c>
      <c r="B34" s="1" t="s">
        <v>39</v>
      </c>
      <c r="C34" s="2">
        <v>0</v>
      </c>
    </row>
    <row r="35" spans="1:4" x14ac:dyDescent="0.25">
      <c r="A35" s="5" t="s">
        <v>11</v>
      </c>
      <c r="B35" s="1" t="s">
        <v>41</v>
      </c>
      <c r="C35" s="2">
        <v>0</v>
      </c>
    </row>
    <row r="36" spans="1:4" x14ac:dyDescent="0.25">
      <c r="A36" s="56" t="s">
        <v>25</v>
      </c>
      <c r="B36" s="56"/>
      <c r="C36" s="46">
        <f>SUM(C32:C35)</f>
        <v>20.666666666666668</v>
      </c>
    </row>
    <row r="37" spans="1:4" ht="30" customHeight="1" x14ac:dyDescent="0.25">
      <c r="A37" s="57" t="s">
        <v>119</v>
      </c>
      <c r="B37" s="57"/>
      <c r="C37" s="57"/>
    </row>
    <row r="39" spans="1:4" x14ac:dyDescent="0.25">
      <c r="A39" s="63" t="s">
        <v>99</v>
      </c>
      <c r="B39" s="63"/>
      <c r="C39" s="63"/>
      <c r="D39" s="63"/>
    </row>
    <row r="40" spans="1:4" x14ac:dyDescent="0.25">
      <c r="A40" s="19" t="s">
        <v>5</v>
      </c>
      <c r="B40" s="19" t="s">
        <v>42</v>
      </c>
      <c r="C40" s="19" t="s">
        <v>7</v>
      </c>
      <c r="D40" s="19" t="s">
        <v>23</v>
      </c>
    </row>
    <row r="41" spans="1:4" x14ac:dyDescent="0.25">
      <c r="A41" s="5" t="s">
        <v>8</v>
      </c>
      <c r="B41" s="1" t="s">
        <v>44</v>
      </c>
      <c r="C41" s="8">
        <f>$C$18*D41</f>
        <v>253.5976</v>
      </c>
      <c r="D41" s="16">
        <v>0.08</v>
      </c>
    </row>
    <row r="42" spans="1:4" x14ac:dyDescent="0.25">
      <c r="A42" s="5" t="s">
        <v>9</v>
      </c>
      <c r="B42" s="1" t="s">
        <v>46</v>
      </c>
      <c r="C42" s="8">
        <f t="shared" ref="C42:C48" si="0">$C$18*D42</f>
        <v>47.549549999999996</v>
      </c>
      <c r="D42" s="16">
        <v>1.4999999999999999E-2</v>
      </c>
    </row>
    <row r="43" spans="1:4" x14ac:dyDescent="0.25">
      <c r="A43" s="5" t="s">
        <v>10</v>
      </c>
      <c r="B43" s="1" t="s">
        <v>48</v>
      </c>
      <c r="C43" s="8">
        <f t="shared" si="0"/>
        <v>31.6997</v>
      </c>
      <c r="D43" s="16">
        <v>0.01</v>
      </c>
    </row>
    <row r="44" spans="1:4" x14ac:dyDescent="0.25">
      <c r="A44" s="5" t="s">
        <v>11</v>
      </c>
      <c r="B44" s="1" t="s">
        <v>50</v>
      </c>
      <c r="C44" s="8">
        <f t="shared" si="0"/>
        <v>6.3399399999999995</v>
      </c>
      <c r="D44" s="16">
        <v>2E-3</v>
      </c>
    </row>
    <row r="45" spans="1:4" ht="17.25" x14ac:dyDescent="0.25">
      <c r="A45" s="5" t="s">
        <v>12</v>
      </c>
      <c r="B45" s="1" t="s">
        <v>52</v>
      </c>
      <c r="C45" s="8">
        <f t="shared" si="0"/>
        <v>79.249250000000004</v>
      </c>
      <c r="D45" s="16">
        <v>2.5000000000000001E-2</v>
      </c>
    </row>
    <row r="46" spans="1:4" x14ac:dyDescent="0.25">
      <c r="A46" s="5" t="s">
        <v>13</v>
      </c>
      <c r="B46" s="1" t="s">
        <v>45</v>
      </c>
      <c r="C46" s="8">
        <f t="shared" si="0"/>
        <v>253.5976</v>
      </c>
      <c r="D46" s="16">
        <v>0.08</v>
      </c>
    </row>
    <row r="47" spans="1:4" ht="17.25" x14ac:dyDescent="0.25">
      <c r="A47" s="5" t="s">
        <v>14</v>
      </c>
      <c r="B47" s="1" t="s">
        <v>56</v>
      </c>
      <c r="C47" s="8">
        <f t="shared" si="0"/>
        <v>10.566566666666665</v>
      </c>
      <c r="D47" s="16">
        <f>((15/30)/12)*0.08</f>
        <v>3.3333333333333331E-3</v>
      </c>
    </row>
    <row r="48" spans="1:4" ht="17.25" x14ac:dyDescent="0.25">
      <c r="A48" s="5" t="s">
        <v>15</v>
      </c>
      <c r="B48" s="1" t="s">
        <v>54</v>
      </c>
      <c r="C48" s="8">
        <f t="shared" si="0"/>
        <v>19.019819999999999</v>
      </c>
      <c r="D48" s="16">
        <v>6.0000000000000001E-3</v>
      </c>
    </row>
    <row r="49" spans="1:4" x14ac:dyDescent="0.25">
      <c r="A49" s="58" t="s">
        <v>25</v>
      </c>
      <c r="B49" s="58"/>
      <c r="C49" s="31">
        <f>SUM(C41:C48)</f>
        <v>701.62002666666672</v>
      </c>
      <c r="D49" s="32">
        <f>SUM(D41:D48)</f>
        <v>0.22133333333333335</v>
      </c>
    </row>
    <row r="50" spans="1:4" x14ac:dyDescent="0.25">
      <c r="A50" s="59" t="s">
        <v>47</v>
      </c>
      <c r="B50" s="60"/>
      <c r="C50" s="61"/>
    </row>
    <row r="51" spans="1:4" x14ac:dyDescent="0.25">
      <c r="A51" s="95" t="s">
        <v>49</v>
      </c>
      <c r="B51" s="96"/>
      <c r="C51" s="97"/>
    </row>
    <row r="52" spans="1:4" x14ac:dyDescent="0.25">
      <c r="A52" s="95" t="s">
        <v>51</v>
      </c>
      <c r="B52" s="96"/>
      <c r="C52" s="97"/>
    </row>
    <row r="53" spans="1:4" ht="30.75" customHeight="1" x14ac:dyDescent="0.25">
      <c r="A53" s="98" t="s">
        <v>53</v>
      </c>
      <c r="B53" s="99"/>
      <c r="C53" s="100"/>
    </row>
    <row r="54" spans="1:4" ht="17.25" x14ac:dyDescent="0.25">
      <c r="A54" s="50" t="s">
        <v>92</v>
      </c>
      <c r="B54" s="51"/>
      <c r="C54" s="52"/>
    </row>
    <row r="55" spans="1:4" ht="17.25" x14ac:dyDescent="0.25">
      <c r="A55" s="47" t="s">
        <v>55</v>
      </c>
      <c r="B55" s="48"/>
      <c r="C55" s="49"/>
    </row>
    <row r="56" spans="1:4" x14ac:dyDescent="0.25">
      <c r="A56" s="29"/>
      <c r="B56" s="29"/>
      <c r="C56" s="29"/>
    </row>
    <row r="57" spans="1:4" x14ac:dyDescent="0.25">
      <c r="A57" s="19" t="s">
        <v>26</v>
      </c>
      <c r="B57" s="19" t="s">
        <v>58</v>
      </c>
      <c r="C57" s="19" t="s">
        <v>7</v>
      </c>
      <c r="D57" s="19" t="s">
        <v>23</v>
      </c>
    </row>
    <row r="58" spans="1:4" x14ac:dyDescent="0.25">
      <c r="A58" s="5" t="s">
        <v>8</v>
      </c>
      <c r="B58" s="1" t="s">
        <v>60</v>
      </c>
      <c r="C58" s="8">
        <f>D58*$C$18</f>
        <v>283.03303571428569</v>
      </c>
      <c r="D58" s="16">
        <f>(5/56)</f>
        <v>8.9285714285714288E-2</v>
      </c>
    </row>
    <row r="59" spans="1:4" x14ac:dyDescent="0.25">
      <c r="A59" s="5" t="s">
        <v>9</v>
      </c>
      <c r="B59" s="1" t="s">
        <v>61</v>
      </c>
      <c r="C59" s="8">
        <f>D59*$C$18</f>
        <v>94.344345238095229</v>
      </c>
      <c r="D59" s="16">
        <f>(1/3)*(5/56)</f>
        <v>2.976190476190476E-2</v>
      </c>
    </row>
    <row r="60" spans="1:4" x14ac:dyDescent="0.25">
      <c r="A60" s="53" t="s">
        <v>59</v>
      </c>
      <c r="B60" s="53"/>
      <c r="C60" s="21">
        <f>SUM(C58:C59)</f>
        <v>377.37738095238092</v>
      </c>
    </row>
    <row r="61" spans="1:4" ht="15.75" customHeight="1" x14ac:dyDescent="0.25">
      <c r="A61" s="22" t="s">
        <v>10</v>
      </c>
      <c r="B61" s="18" t="s">
        <v>74</v>
      </c>
      <c r="C61" s="8">
        <f>$D$49*$C$60</f>
        <v>83.526193650793644</v>
      </c>
    </row>
    <row r="62" spans="1:4" x14ac:dyDescent="0.25">
      <c r="A62" s="63" t="s">
        <v>25</v>
      </c>
      <c r="B62" s="63"/>
      <c r="C62" s="20">
        <f>$C$60+$C$61</f>
        <v>460.90357460317455</v>
      </c>
    </row>
    <row r="63" spans="1:4" ht="15" customHeight="1" x14ac:dyDescent="0.25">
      <c r="A63" s="79" t="s">
        <v>62</v>
      </c>
      <c r="B63" s="80"/>
      <c r="C63" s="81"/>
    </row>
    <row r="64" spans="1:4" x14ac:dyDescent="0.25">
      <c r="A64" s="64"/>
      <c r="B64" s="65"/>
      <c r="C64" s="66"/>
    </row>
    <row r="65" spans="1:5" x14ac:dyDescent="0.25">
      <c r="A65" s="91"/>
      <c r="B65" s="92"/>
      <c r="C65" s="93"/>
    </row>
    <row r="67" spans="1:5" x14ac:dyDescent="0.25">
      <c r="A67" s="19" t="s">
        <v>36</v>
      </c>
      <c r="B67" s="19" t="s">
        <v>63</v>
      </c>
      <c r="C67" s="19" t="s">
        <v>7</v>
      </c>
    </row>
    <row r="68" spans="1:5" x14ac:dyDescent="0.25">
      <c r="A68" s="5" t="s">
        <v>8</v>
      </c>
      <c r="B68" s="1" t="s">
        <v>65</v>
      </c>
      <c r="C68" s="2">
        <f>(0.0144*0.1*(4/12))*$C$18</f>
        <v>1.5215855999999999</v>
      </c>
    </row>
    <row r="69" spans="1:5" x14ac:dyDescent="0.25">
      <c r="A69" s="5" t="s">
        <v>9</v>
      </c>
      <c r="B69" s="18" t="s">
        <v>64</v>
      </c>
      <c r="C69" s="2">
        <f>$C$68*$D$49</f>
        <v>0.33677761280000001</v>
      </c>
    </row>
    <row r="70" spans="1:5" x14ac:dyDescent="0.25">
      <c r="A70" s="63" t="s">
        <v>25</v>
      </c>
      <c r="B70" s="63"/>
      <c r="C70" s="20">
        <f>SUM(C68:C69)</f>
        <v>1.8583632127999998</v>
      </c>
      <c r="E70" s="7"/>
    </row>
    <row r="71" spans="1:5" ht="15" customHeight="1" x14ac:dyDescent="0.25">
      <c r="A71" s="94" t="s">
        <v>66</v>
      </c>
      <c r="B71" s="94"/>
      <c r="C71" s="94"/>
    </row>
    <row r="72" spans="1:5" x14ac:dyDescent="0.25">
      <c r="A72" s="94"/>
      <c r="B72" s="94"/>
      <c r="C72" s="94"/>
    </row>
    <row r="73" spans="1:5" x14ac:dyDescent="0.25">
      <c r="A73" s="94"/>
      <c r="B73" s="94"/>
      <c r="C73" s="94"/>
    </row>
    <row r="74" spans="1:5" ht="18.75" x14ac:dyDescent="0.3">
      <c r="A74" s="24"/>
    </row>
    <row r="75" spans="1:5" x14ac:dyDescent="0.25">
      <c r="A75" s="19" t="s">
        <v>43</v>
      </c>
      <c r="B75" s="19" t="s">
        <v>67</v>
      </c>
      <c r="C75" s="19" t="s">
        <v>7</v>
      </c>
      <c r="D75" s="19" t="s">
        <v>23</v>
      </c>
    </row>
    <row r="76" spans="1:5" x14ac:dyDescent="0.25">
      <c r="A76" s="5" t="s">
        <v>8</v>
      </c>
      <c r="B76" s="1" t="s">
        <v>68</v>
      </c>
      <c r="C76" s="7">
        <f>D76*$C$18</f>
        <v>13.208208333333332</v>
      </c>
      <c r="D76" s="25">
        <f>((1/12)*0.05)</f>
        <v>4.1666666666666666E-3</v>
      </c>
    </row>
    <row r="77" spans="1:5" x14ac:dyDescent="0.25">
      <c r="A77" s="5" t="s">
        <v>9</v>
      </c>
      <c r="B77" s="1" t="s">
        <v>72</v>
      </c>
      <c r="C77" s="8">
        <f>D77*$C$76</f>
        <v>1.0566566666666666</v>
      </c>
      <c r="D77" s="16">
        <v>0.08</v>
      </c>
    </row>
    <row r="78" spans="1:5" x14ac:dyDescent="0.25">
      <c r="A78" s="5" t="s">
        <v>10</v>
      </c>
      <c r="B78" s="1" t="s">
        <v>71</v>
      </c>
      <c r="C78" s="8">
        <f>$D$78*$C$76</f>
        <v>0.57455706249999994</v>
      </c>
      <c r="D78" s="25">
        <f>0.08*0.5*0.9*(1+(5/56)+(5/56)+((1/3)*(5/56)))</f>
        <v>4.3499999999999997E-2</v>
      </c>
    </row>
    <row r="79" spans="1:5" x14ac:dyDescent="0.25">
      <c r="A79" s="5" t="s">
        <v>11</v>
      </c>
      <c r="B79" s="1" t="s">
        <v>73</v>
      </c>
      <c r="C79" s="8">
        <f>$D$79*$C$18</f>
        <v>1.2327661111111112</v>
      </c>
      <c r="D79" s="16">
        <f>((7/30)/12)*0.02</f>
        <v>3.8888888888888892E-4</v>
      </c>
    </row>
    <row r="80" spans="1:5" x14ac:dyDescent="0.25">
      <c r="A80" s="5" t="s">
        <v>12</v>
      </c>
      <c r="B80" s="1" t="s">
        <v>75</v>
      </c>
      <c r="C80" s="8">
        <f>$D$80*$C$79</f>
        <v>0.27285223259259267</v>
      </c>
      <c r="D80" s="16">
        <f>$D$49</f>
        <v>0.22133333333333335</v>
      </c>
    </row>
    <row r="81" spans="1:4" x14ac:dyDescent="0.25">
      <c r="A81" s="5" t="s">
        <v>13</v>
      </c>
      <c r="B81" s="1" t="s">
        <v>76</v>
      </c>
      <c r="C81" s="8">
        <f>$C$79*$D$81</f>
        <v>4.9310644444444447E-2</v>
      </c>
      <c r="D81" s="25">
        <f>0.08*0.5</f>
        <v>0.04</v>
      </c>
    </row>
    <row r="82" spans="1:4" x14ac:dyDescent="0.25">
      <c r="A82" s="63" t="s">
        <v>25</v>
      </c>
      <c r="B82" s="63"/>
      <c r="C82" s="20">
        <f>SUM(C76:C81)</f>
        <v>16.394351050648147</v>
      </c>
    </row>
    <row r="83" spans="1:4" ht="15" customHeight="1" x14ac:dyDescent="0.25">
      <c r="A83" s="79" t="s">
        <v>69</v>
      </c>
      <c r="B83" s="80"/>
      <c r="C83" s="81"/>
      <c r="D83" s="17"/>
    </row>
    <row r="84" spans="1:4" x14ac:dyDescent="0.25">
      <c r="A84" s="64"/>
      <c r="B84" s="65"/>
      <c r="C84" s="66"/>
      <c r="D84" s="17"/>
    </row>
    <row r="85" spans="1:4" x14ac:dyDescent="0.25">
      <c r="A85" s="67" t="s">
        <v>70</v>
      </c>
      <c r="B85" s="68"/>
      <c r="C85" s="69"/>
    </row>
    <row r="86" spans="1:4" x14ac:dyDescent="0.25">
      <c r="A86" s="67"/>
      <c r="B86" s="68"/>
      <c r="C86" s="69"/>
    </row>
    <row r="87" spans="1:4" ht="15" customHeight="1" x14ac:dyDescent="0.25">
      <c r="A87" s="67" t="s">
        <v>77</v>
      </c>
      <c r="B87" s="68"/>
      <c r="C87" s="69"/>
    </row>
    <row r="88" spans="1:4" x14ac:dyDescent="0.25">
      <c r="A88" s="67"/>
      <c r="B88" s="68"/>
      <c r="C88" s="69"/>
    </row>
    <row r="89" spans="1:4" x14ac:dyDescent="0.25">
      <c r="A89" s="82"/>
      <c r="B89" s="83"/>
      <c r="C89" s="84"/>
    </row>
    <row r="91" spans="1:4" x14ac:dyDescent="0.25">
      <c r="A91" s="19" t="s">
        <v>57</v>
      </c>
      <c r="B91" s="19" t="s">
        <v>90</v>
      </c>
      <c r="C91" s="19" t="s">
        <v>7</v>
      </c>
      <c r="D91" s="19" t="s">
        <v>23</v>
      </c>
    </row>
    <row r="92" spans="1:4" x14ac:dyDescent="0.25">
      <c r="A92" s="5" t="s">
        <v>8</v>
      </c>
      <c r="B92" s="1" t="s">
        <v>78</v>
      </c>
      <c r="C92" s="8">
        <f>$C$18*D92</f>
        <v>283.03303571428569</v>
      </c>
      <c r="D92" s="25">
        <f>(5/56)</f>
        <v>8.9285714285714288E-2</v>
      </c>
    </row>
    <row r="93" spans="1:4" x14ac:dyDescent="0.25">
      <c r="A93" s="5" t="s">
        <v>9</v>
      </c>
      <c r="B93" s="1" t="s">
        <v>81</v>
      </c>
      <c r="C93" s="8">
        <f t="shared" ref="C93:C97" si="1">$C$18*D93</f>
        <v>52.480614444444441</v>
      </c>
      <c r="D93" s="25">
        <f>(5.96/30)/12</f>
        <v>1.6555555555555556E-2</v>
      </c>
    </row>
    <row r="94" spans="1:4" x14ac:dyDescent="0.25">
      <c r="A94" s="5" t="s">
        <v>10</v>
      </c>
      <c r="B94" s="1" t="s">
        <v>83</v>
      </c>
      <c r="C94" s="8">
        <f t="shared" si="1"/>
        <v>0.66041041666666656</v>
      </c>
      <c r="D94" s="25">
        <f>((5/30)/12)*0.015</f>
        <v>2.0833333333333332E-4</v>
      </c>
    </row>
    <row r="95" spans="1:4" ht="17.25" x14ac:dyDescent="0.25">
      <c r="A95" s="5" t="s">
        <v>11</v>
      </c>
      <c r="B95" s="1" t="s">
        <v>85</v>
      </c>
      <c r="C95" s="8">
        <f t="shared" si="1"/>
        <v>8.8054722222222228</v>
      </c>
      <c r="D95" s="25">
        <f>(1/30)/12</f>
        <v>2.7777777777777779E-3</v>
      </c>
    </row>
    <row r="96" spans="1:4" ht="17.25" x14ac:dyDescent="0.25">
      <c r="A96" s="5" t="s">
        <v>12</v>
      </c>
      <c r="B96" s="1" t="s">
        <v>87</v>
      </c>
      <c r="C96" s="8">
        <f t="shared" si="1"/>
        <v>1.0302402499999999</v>
      </c>
      <c r="D96" s="25">
        <f>((15/30)/12)*0.0078</f>
        <v>3.2499999999999999E-4</v>
      </c>
    </row>
    <row r="97" spans="1:6" ht="17.25" x14ac:dyDescent="0.25">
      <c r="A97" s="5" t="s">
        <v>13</v>
      </c>
      <c r="B97" s="1" t="s">
        <v>88</v>
      </c>
      <c r="C97" s="8">
        <f t="shared" si="1"/>
        <v>8.8054722222222228</v>
      </c>
      <c r="D97" s="25">
        <f>(1/30)/12</f>
        <v>2.7777777777777779E-3</v>
      </c>
    </row>
    <row r="98" spans="1:6" x14ac:dyDescent="0.25">
      <c r="A98" s="53" t="s">
        <v>59</v>
      </c>
      <c r="B98" s="53"/>
      <c r="C98" s="21">
        <f>SUM(C92:C97)</f>
        <v>354.81524526984128</v>
      </c>
      <c r="D98" s="25"/>
    </row>
    <row r="99" spans="1:6" x14ac:dyDescent="0.25">
      <c r="A99" s="5" t="s">
        <v>14</v>
      </c>
      <c r="B99" s="18" t="s">
        <v>64</v>
      </c>
      <c r="C99" s="8">
        <f>$C$98*$D$99</f>
        <v>78.532440953058213</v>
      </c>
      <c r="D99" s="25">
        <f>$D$49</f>
        <v>0.22133333333333335</v>
      </c>
    </row>
    <row r="100" spans="1:6" x14ac:dyDescent="0.25">
      <c r="A100" s="63" t="s">
        <v>25</v>
      </c>
      <c r="B100" s="63"/>
      <c r="C100" s="30">
        <f>SUM(C98:C99)</f>
        <v>433.34768622289948</v>
      </c>
    </row>
    <row r="101" spans="1:6" x14ac:dyDescent="0.25">
      <c r="A101" s="76" t="s">
        <v>79</v>
      </c>
      <c r="B101" s="77"/>
      <c r="C101" s="78"/>
    </row>
    <row r="102" spans="1:6" x14ac:dyDescent="0.25">
      <c r="A102" s="67"/>
      <c r="B102" s="68"/>
      <c r="C102" s="69"/>
    </row>
    <row r="103" spans="1:6" ht="15" customHeight="1" x14ac:dyDescent="0.25">
      <c r="A103" s="67" t="s">
        <v>80</v>
      </c>
      <c r="B103" s="68"/>
      <c r="C103" s="69"/>
      <c r="D103" s="26"/>
    </row>
    <row r="104" spans="1:6" x14ac:dyDescent="0.25">
      <c r="A104" s="67"/>
      <c r="B104" s="68"/>
      <c r="C104" s="69"/>
      <c r="D104" s="26"/>
    </row>
    <row r="105" spans="1:6" x14ac:dyDescent="0.25">
      <c r="A105" s="67"/>
      <c r="B105" s="68"/>
      <c r="C105" s="69"/>
      <c r="D105" s="26"/>
    </row>
    <row r="106" spans="1:6" ht="15" customHeight="1" x14ac:dyDescent="0.25">
      <c r="A106" s="64" t="s">
        <v>82</v>
      </c>
      <c r="B106" s="65"/>
      <c r="C106" s="66"/>
      <c r="D106" s="17"/>
    </row>
    <row r="107" spans="1:6" x14ac:dyDescent="0.25">
      <c r="A107" s="64"/>
      <c r="B107" s="65"/>
      <c r="C107" s="66"/>
      <c r="D107" s="17"/>
    </row>
    <row r="108" spans="1:6" x14ac:dyDescent="0.25">
      <c r="A108" s="64"/>
      <c r="B108" s="65"/>
      <c r="C108" s="66"/>
      <c r="D108" s="17"/>
    </row>
    <row r="109" spans="1:6" x14ac:dyDescent="0.25">
      <c r="A109" s="64"/>
      <c r="B109" s="65"/>
      <c r="C109" s="66"/>
      <c r="D109" s="17"/>
    </row>
    <row r="110" spans="1:6" ht="15" customHeight="1" x14ac:dyDescent="0.25">
      <c r="A110" s="73" t="s">
        <v>84</v>
      </c>
      <c r="B110" s="74"/>
      <c r="C110" s="75"/>
      <c r="D110" s="28"/>
      <c r="E110" s="27"/>
      <c r="F110" s="27"/>
    </row>
    <row r="111" spans="1:6" x14ac:dyDescent="0.25">
      <c r="A111" s="64" t="s">
        <v>86</v>
      </c>
      <c r="B111" s="65"/>
      <c r="C111" s="66"/>
    </row>
    <row r="112" spans="1:6" x14ac:dyDescent="0.25">
      <c r="A112" s="64"/>
      <c r="B112" s="65"/>
      <c r="C112" s="66"/>
    </row>
    <row r="113" spans="1:4" x14ac:dyDescent="0.25">
      <c r="A113" s="64"/>
      <c r="B113" s="65"/>
      <c r="C113" s="66"/>
    </row>
    <row r="114" spans="1:4" x14ac:dyDescent="0.25">
      <c r="A114" s="64"/>
      <c r="B114" s="65"/>
      <c r="C114" s="66"/>
    </row>
    <row r="115" spans="1:4" x14ac:dyDescent="0.25">
      <c r="A115" s="64"/>
      <c r="B115" s="65"/>
      <c r="C115" s="66"/>
    </row>
    <row r="116" spans="1:4" ht="17.25" x14ac:dyDescent="0.25">
      <c r="A116" s="70" t="s">
        <v>89</v>
      </c>
      <c r="B116" s="71"/>
      <c r="C116" s="72"/>
    </row>
    <row r="118" spans="1:4" x14ac:dyDescent="0.25">
      <c r="A118" s="63" t="s">
        <v>100</v>
      </c>
      <c r="B118" s="63"/>
      <c r="C118" s="19" t="s">
        <v>7</v>
      </c>
    </row>
    <row r="119" spans="1:4" x14ac:dyDescent="0.25">
      <c r="A119" s="5" t="s">
        <v>5</v>
      </c>
      <c r="B119" s="1" t="s">
        <v>42</v>
      </c>
      <c r="C119" s="8">
        <f>$C$49</f>
        <v>701.62002666666672</v>
      </c>
    </row>
    <row r="120" spans="1:4" x14ac:dyDescent="0.25">
      <c r="A120" s="5" t="s">
        <v>26</v>
      </c>
      <c r="B120" s="1" t="s">
        <v>58</v>
      </c>
      <c r="C120" s="8">
        <f>$C$62</f>
        <v>460.90357460317455</v>
      </c>
    </row>
    <row r="121" spans="1:4" x14ac:dyDescent="0.25">
      <c r="A121" s="5" t="s">
        <v>36</v>
      </c>
      <c r="B121" s="1" t="s">
        <v>63</v>
      </c>
      <c r="C121" s="8">
        <f>$C$70</f>
        <v>1.8583632127999998</v>
      </c>
    </row>
    <row r="122" spans="1:4" x14ac:dyDescent="0.25">
      <c r="A122" s="5" t="s">
        <v>43</v>
      </c>
      <c r="B122" s="1" t="s">
        <v>67</v>
      </c>
      <c r="C122" s="8">
        <f>$C$82</f>
        <v>16.394351050648147</v>
      </c>
    </row>
    <row r="123" spans="1:4" x14ac:dyDescent="0.25">
      <c r="A123" s="5" t="s">
        <v>57</v>
      </c>
      <c r="B123" s="1" t="s">
        <v>90</v>
      </c>
      <c r="C123" s="8">
        <f>$C$100</f>
        <v>433.34768622289948</v>
      </c>
    </row>
    <row r="124" spans="1:4" x14ac:dyDescent="0.25">
      <c r="A124" s="63" t="s">
        <v>24</v>
      </c>
      <c r="B124" s="63"/>
      <c r="C124" s="20">
        <f>SUM(C119:C123)</f>
        <v>1614.1240017561888</v>
      </c>
    </row>
    <row r="126" spans="1:4" x14ac:dyDescent="0.25">
      <c r="A126" s="90" t="s">
        <v>101</v>
      </c>
      <c r="B126" s="90"/>
      <c r="C126" s="90"/>
      <c r="D126" s="90"/>
    </row>
    <row r="127" spans="1:4" x14ac:dyDescent="0.25">
      <c r="A127" s="90" t="s">
        <v>93</v>
      </c>
      <c r="B127" s="90"/>
      <c r="C127" s="23" t="s">
        <v>7</v>
      </c>
      <c r="D127" s="23" t="s">
        <v>23</v>
      </c>
    </row>
    <row r="128" spans="1:4" x14ac:dyDescent="0.25">
      <c r="A128" s="5" t="s">
        <v>8</v>
      </c>
      <c r="B128" s="1" t="s">
        <v>95</v>
      </c>
      <c r="C128" s="2">
        <f>$C$151*D128</f>
        <v>155.33287405268564</v>
      </c>
      <c r="D128" s="36">
        <v>0.03</v>
      </c>
    </row>
    <row r="129" spans="1:6" x14ac:dyDescent="0.25">
      <c r="A129" s="5" t="s">
        <v>9</v>
      </c>
      <c r="B129" s="1" t="s">
        <v>94</v>
      </c>
      <c r="C129" s="2">
        <f>($C$151+$C$128)*D129</f>
        <v>362.11717375408921</v>
      </c>
      <c r="D129" s="37">
        <v>6.7900000000000002E-2</v>
      </c>
      <c r="F129" s="7"/>
    </row>
    <row r="130" spans="1:6" x14ac:dyDescent="0.25">
      <c r="A130" s="87" t="s">
        <v>59</v>
      </c>
      <c r="B130" s="88"/>
      <c r="C130" s="35">
        <f>C128+C129</f>
        <v>517.45004780677482</v>
      </c>
      <c r="D130" s="41">
        <f>SUM(D128:D129)</f>
        <v>9.7900000000000001E-2</v>
      </c>
    </row>
    <row r="131" spans="1:6" x14ac:dyDescent="0.25">
      <c r="A131" s="5" t="s">
        <v>5</v>
      </c>
      <c r="B131" s="34" t="s">
        <v>102</v>
      </c>
      <c r="C131" s="40">
        <f>($C$151+$C$130)*D131</f>
        <v>142.38031290574074</v>
      </c>
      <c r="D131" s="25">
        <v>2.5000000000000001E-2</v>
      </c>
    </row>
    <row r="132" spans="1:6" x14ac:dyDescent="0.25">
      <c r="A132" s="5" t="s">
        <v>26</v>
      </c>
      <c r="B132" s="34" t="s">
        <v>103</v>
      </c>
      <c r="C132" s="40">
        <f>($C$151+$C$130)*D132</f>
        <v>170.85637548688888</v>
      </c>
      <c r="D132" s="25">
        <v>0.03</v>
      </c>
    </row>
    <row r="133" spans="1:6" x14ac:dyDescent="0.25">
      <c r="A133" s="5" t="s">
        <v>36</v>
      </c>
      <c r="B133" s="34" t="s">
        <v>104</v>
      </c>
      <c r="C133" s="40">
        <f>($C$151+$C$130)*D133</f>
        <v>37.018881355492589</v>
      </c>
      <c r="D133" s="25">
        <v>6.4999999999999997E-3</v>
      </c>
    </row>
    <row r="134" spans="1:6" x14ac:dyDescent="0.25">
      <c r="A134" s="5" t="s">
        <v>43</v>
      </c>
      <c r="B134" s="34" t="s">
        <v>106</v>
      </c>
      <c r="C134" s="40">
        <f>($C$151+$C$130)*D134</f>
        <v>56.952125162296298</v>
      </c>
      <c r="D134" s="25">
        <v>0.01</v>
      </c>
    </row>
    <row r="135" spans="1:6" x14ac:dyDescent="0.25">
      <c r="A135" s="5" t="s">
        <v>57</v>
      </c>
      <c r="B135" s="34" t="s">
        <v>107</v>
      </c>
      <c r="C135" s="40">
        <f>($C$151+$C$130)*D135</f>
        <v>56.952125162296298</v>
      </c>
      <c r="D135" s="25">
        <v>0.01</v>
      </c>
    </row>
    <row r="136" spans="1:6" x14ac:dyDescent="0.25">
      <c r="A136" s="5" t="s">
        <v>10</v>
      </c>
      <c r="B136" s="6" t="s">
        <v>108</v>
      </c>
      <c r="C136" s="35">
        <f>SUM(C131:C135)</f>
        <v>464.15982007271475</v>
      </c>
      <c r="D136" s="41">
        <f>SUM(D131:D135)</f>
        <v>8.1499999999999989E-2</v>
      </c>
    </row>
    <row r="137" spans="1:6" x14ac:dyDescent="0.25">
      <c r="A137" s="89" t="s">
        <v>24</v>
      </c>
      <c r="B137" s="89"/>
      <c r="C137" s="33">
        <f>C130+C136</f>
        <v>981.60986787948957</v>
      </c>
      <c r="D137" s="42">
        <f>D130+D136</f>
        <v>0.1794</v>
      </c>
    </row>
    <row r="138" spans="1:6" x14ac:dyDescent="0.25">
      <c r="A138" s="79" t="s">
        <v>96</v>
      </c>
      <c r="B138" s="80"/>
      <c r="C138" s="81"/>
    </row>
    <row r="139" spans="1:6" x14ac:dyDescent="0.25">
      <c r="A139" s="64"/>
      <c r="B139" s="65"/>
      <c r="C139" s="66"/>
    </row>
    <row r="140" spans="1:6" ht="15" customHeight="1" x14ac:dyDescent="0.25">
      <c r="A140" s="67" t="s">
        <v>105</v>
      </c>
      <c r="B140" s="68"/>
      <c r="C140" s="69"/>
    </row>
    <row r="141" spans="1:6" x14ac:dyDescent="0.25">
      <c r="A141" s="67"/>
      <c r="B141" s="68"/>
      <c r="C141" s="69"/>
    </row>
    <row r="142" spans="1:6" x14ac:dyDescent="0.25">
      <c r="A142" s="67"/>
      <c r="B142" s="68"/>
      <c r="C142" s="69"/>
    </row>
    <row r="143" spans="1:6" x14ac:dyDescent="0.25">
      <c r="A143" s="82"/>
      <c r="B143" s="83"/>
      <c r="C143" s="84"/>
    </row>
    <row r="146" spans="1:3" x14ac:dyDescent="0.25">
      <c r="B146" s="85" t="s">
        <v>109</v>
      </c>
      <c r="C146" s="86"/>
    </row>
    <row r="147" spans="1:3" x14ac:dyDescent="0.25">
      <c r="A147" s="38"/>
      <c r="B147" s="43" t="s">
        <v>110</v>
      </c>
      <c r="C147" s="2">
        <f>$C$18</f>
        <v>3169.97</v>
      </c>
    </row>
    <row r="148" spans="1:3" x14ac:dyDescent="0.25">
      <c r="A148" s="38"/>
      <c r="B148" s="43" t="s">
        <v>111</v>
      </c>
      <c r="C148" s="2">
        <f>$C$28</f>
        <v>373.0018</v>
      </c>
    </row>
    <row r="149" spans="1:3" x14ac:dyDescent="0.25">
      <c r="A149" s="38"/>
      <c r="B149" s="43" t="s">
        <v>112</v>
      </c>
      <c r="C149" s="2">
        <f>$C$36</f>
        <v>20.666666666666668</v>
      </c>
    </row>
    <row r="150" spans="1:3" x14ac:dyDescent="0.25">
      <c r="A150" s="38"/>
      <c r="B150" s="43" t="s">
        <v>113</v>
      </c>
      <c r="C150" s="2">
        <f>$C$124</f>
        <v>1614.1240017561888</v>
      </c>
    </row>
    <row r="151" spans="1:3" x14ac:dyDescent="0.25">
      <c r="B151" s="44" t="s">
        <v>115</v>
      </c>
      <c r="C151" s="21">
        <f>SUM(C147:C150)</f>
        <v>5177.7624684228549</v>
      </c>
    </row>
    <row r="152" spans="1:3" x14ac:dyDescent="0.25">
      <c r="B152" s="43" t="s">
        <v>116</v>
      </c>
      <c r="C152" s="8">
        <f>$C$137</f>
        <v>981.60986787948957</v>
      </c>
    </row>
    <row r="153" spans="1:3" x14ac:dyDescent="0.25">
      <c r="B153" s="39" t="s">
        <v>117</v>
      </c>
      <c r="C153" s="45">
        <f>C151+C152</f>
        <v>6159.3723363023446</v>
      </c>
    </row>
  </sheetData>
  <mergeCells count="41">
    <mergeCell ref="B146:C146"/>
    <mergeCell ref="A20:F20"/>
    <mergeCell ref="A130:B130"/>
    <mergeCell ref="A140:C143"/>
    <mergeCell ref="A137:B137"/>
    <mergeCell ref="A127:B127"/>
    <mergeCell ref="A138:C139"/>
    <mergeCell ref="A124:B124"/>
    <mergeCell ref="A126:D126"/>
    <mergeCell ref="A62:B62"/>
    <mergeCell ref="A63:C65"/>
    <mergeCell ref="A70:B70"/>
    <mergeCell ref="A71:C73"/>
    <mergeCell ref="A51:C51"/>
    <mergeCell ref="A52:C52"/>
    <mergeCell ref="A53:C53"/>
    <mergeCell ref="A9:D9"/>
    <mergeCell ref="A30:C30"/>
    <mergeCell ref="A98:B98"/>
    <mergeCell ref="A39:D39"/>
    <mergeCell ref="A118:B118"/>
    <mergeCell ref="A111:C115"/>
    <mergeCell ref="A106:C109"/>
    <mergeCell ref="A103:C105"/>
    <mergeCell ref="A116:C116"/>
    <mergeCell ref="A110:C110"/>
    <mergeCell ref="A100:B100"/>
    <mergeCell ref="A101:C102"/>
    <mergeCell ref="A82:B82"/>
    <mergeCell ref="A83:C84"/>
    <mergeCell ref="A85:C86"/>
    <mergeCell ref="A87:C89"/>
    <mergeCell ref="A55:C55"/>
    <mergeCell ref="A54:C54"/>
    <mergeCell ref="A60:B60"/>
    <mergeCell ref="A18:B18"/>
    <mergeCell ref="A28:B28"/>
    <mergeCell ref="A36:B36"/>
    <mergeCell ref="A37:C37"/>
    <mergeCell ref="A49:B49"/>
    <mergeCell ref="A50:C50"/>
  </mergeCells>
  <pageMargins left="0.511811024" right="0.511811024" top="0.78740157499999996" bottom="0.78740157499999996" header="0.31496062000000002" footer="0.31496062000000002"/>
  <pageSetup paperSize="9" orientation="portrait" verticalDpi="0" r:id="rId1"/>
  <ignoredErrors>
    <ignoredError sqref="D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Tecnólogo de Gestão de RH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Graziela Escoto da Luz</dc:creator>
  <cp:lastModifiedBy>priscilla Vaccaro</cp:lastModifiedBy>
  <dcterms:created xsi:type="dcterms:W3CDTF">2019-08-20T12:48:17Z</dcterms:created>
  <dcterms:modified xsi:type="dcterms:W3CDTF">2019-08-23T15:03:06Z</dcterms:modified>
</cp:coreProperties>
</file>